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3875" windowHeight="9450" activeTab="0"/>
  </bookViews>
  <sheets>
    <sheet name="入力" sheetId="1" r:id="rId1"/>
    <sheet name="税率" sheetId="2" state="hidden" r:id="rId2"/>
    <sheet name="納税予定表" sheetId="3" r:id="rId3"/>
  </sheets>
  <definedNames>
    <definedName name="H19所得税">'税率'!$E$16:$G$21</definedName>
    <definedName name="住民生命">'税率'!$E$33:$G$36</definedName>
    <definedName name="住民配特">'税率'!$D$40:$E$56</definedName>
    <definedName name="所得生命">'税率'!$A$33:$C$36</definedName>
    <definedName name="所得税率">'税率'!$A$16:$C$19</definedName>
    <definedName name="配偶者控除">'税率'!$A$24:$B$28</definedName>
    <definedName name="配偶者特別">'税率'!$A$40:$B$58</definedName>
  </definedNames>
  <calcPr fullCalcOnLoad="1"/>
</workbook>
</file>

<file path=xl/comments1.xml><?xml version="1.0" encoding="utf-8"?>
<comments xmlns="http://schemas.openxmlformats.org/spreadsheetml/2006/main">
  <authors>
    <author>たつみ</author>
    <author>t200705</author>
  </authors>
  <commentList>
    <comment ref="K9" authorId="0">
      <text>
        <r>
          <rPr>
            <b/>
            <sz val="9"/>
            <rFont val="ＭＳ Ｐゴシック"/>
            <family val="3"/>
          </rPr>
          <t>第１種　　　　　　　　　５％
第２種　　　　　　　　　４％
第３種（下記を除く）　５％
第３種のうち医業等　３％</t>
        </r>
      </text>
    </comment>
    <comment ref="F60" authorId="0">
      <text>
        <r>
          <rPr>
            <b/>
            <sz val="9"/>
            <rFont val="ＭＳ Ｐゴシック"/>
            <family val="3"/>
          </rPr>
          <t>１５万円以下の場合：
予定納税不要</t>
        </r>
      </text>
    </comment>
    <comment ref="F23" authorId="0">
      <text>
        <r>
          <rPr>
            <sz val="9"/>
            <rFont val="ＭＳ Ｐゴシック"/>
            <family val="3"/>
          </rPr>
          <t>65歳以下
総所得1000万円以下
　　　　　　５００，０００円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寡婦・寡夫
　　　　　２７０，０００円
特定の寡婦・寡夫
　　　　　３５０，０００円
</t>
        </r>
      </text>
    </comment>
    <comment ref="F25" authorId="0">
      <text>
        <r>
          <rPr>
            <b/>
            <sz val="9"/>
            <rFont val="ＭＳ Ｐゴシック"/>
            <family val="3"/>
          </rPr>
          <t>合計所得金額　６５万円以下
給与所得以外　１０万円以下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障害者　　　　２７万円
特別障害者　４０万円
</t>
        </r>
      </text>
    </comment>
    <comment ref="E27" authorId="0">
      <text>
        <r>
          <rPr>
            <b/>
            <sz val="9"/>
            <rFont val="ＭＳ Ｐゴシック"/>
            <family val="3"/>
          </rPr>
          <t>総所得金額等：
　　1000万円以下</t>
        </r>
      </text>
    </comment>
    <comment ref="F28" authorId="0">
      <text>
        <r>
          <rPr>
            <sz val="9"/>
            <rFont val="ＭＳ Ｐゴシック"/>
            <family val="3"/>
          </rPr>
          <t>配偶者控除：　　　　　　　　　　　　３８０，０００円
老人控除対象配偶者　　　　　　　４８０，０００円
同居特別障害者該当　配偶者　　７３０，０００円
同居特別障害　＆　老人配偶者　８３０，０００円</t>
        </r>
      </text>
    </comment>
    <comment ref="G22" authorId="1">
      <text>
        <r>
          <rPr>
            <b/>
            <sz val="9"/>
            <rFont val="ＭＳ Ｐゴシック"/>
            <family val="3"/>
          </rPr>
          <t>寄付金控除の対象が所得税と異なります。
確認の上、入力してください。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1" authorId="1">
      <text>
        <r>
          <rPr>
            <b/>
            <sz val="9"/>
            <rFont val="ＭＳ Ｐゴシック"/>
            <family val="3"/>
          </rPr>
          <t>平成18年以降が対象です。</t>
        </r>
      </text>
    </comment>
  </commentList>
</comments>
</file>

<file path=xl/sharedStrings.xml><?xml version="1.0" encoding="utf-8"?>
<sst xmlns="http://schemas.openxmlformats.org/spreadsheetml/2006/main" count="157" uniqueCount="124">
  <si>
    <t>事業所得</t>
  </si>
  <si>
    <t>不動産所得</t>
  </si>
  <si>
    <t>配当所得</t>
  </si>
  <si>
    <t>給与所得</t>
  </si>
  <si>
    <t>雑所得</t>
  </si>
  <si>
    <t>一時所得</t>
  </si>
  <si>
    <t>譲渡所得</t>
  </si>
  <si>
    <t>合計</t>
  </si>
  <si>
    <t>分離譲渡</t>
  </si>
  <si>
    <t>医療費控除</t>
  </si>
  <si>
    <t>小規模共済</t>
  </si>
  <si>
    <t>生命保険料控除</t>
  </si>
  <si>
    <t>社会保険料控除</t>
  </si>
  <si>
    <t>損害保険料控除</t>
  </si>
  <si>
    <t>寄付金控除</t>
  </si>
  <si>
    <t>老年者控除</t>
  </si>
  <si>
    <t>寡婦、寡夫控除</t>
  </si>
  <si>
    <t>勤労学生控除</t>
  </si>
  <si>
    <t>障害者控除</t>
  </si>
  <si>
    <t>扶養控除</t>
  </si>
  <si>
    <t>基礎控除</t>
  </si>
  <si>
    <t>雑損控除</t>
  </si>
  <si>
    <t>所得税</t>
  </si>
  <si>
    <t>住民税</t>
  </si>
  <si>
    <t>うち事業税非課税所得</t>
  </si>
  <si>
    <t>道府県民税</t>
  </si>
  <si>
    <t>市町村民税</t>
  </si>
  <si>
    <t>納期</t>
  </si>
  <si>
    <t>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</si>
  <si>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</si>
  <si>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</si>
  <si>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</si>
  <si>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</si>
  <si>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</si>
  <si>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</si>
  <si>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</si>
  <si>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</si>
  <si>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</si>
  <si>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</si>
  <si>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</si>
  <si>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</si>
  <si>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事業税</t>
  </si>
  <si>
    <t>第３期</t>
  </si>
  <si>
    <t>延納届出額</t>
  </si>
  <si>
    <t>第１期</t>
  </si>
  <si>
    <t>第２期</t>
  </si>
  <si>
    <t>第１期</t>
  </si>
  <si>
    <t>第２期</t>
  </si>
  <si>
    <t>第４期</t>
  </si>
  <si>
    <t>氏名</t>
  </si>
  <si>
    <t>事業税税率</t>
  </si>
  <si>
    <t>課税所得</t>
  </si>
  <si>
    <t>税額</t>
  </si>
  <si>
    <t>道府県民税</t>
  </si>
  <si>
    <t>課税所得（総合）</t>
  </si>
  <si>
    <t>課税所得（分離）</t>
  </si>
  <si>
    <t>分離長期</t>
  </si>
  <si>
    <t>事業税税額</t>
  </si>
  <si>
    <t>税額合計</t>
  </si>
  <si>
    <t>第１期</t>
  </si>
  <si>
    <t>第２期</t>
  </si>
  <si>
    <t>差引第３期</t>
  </si>
  <si>
    <t>延納届出額</t>
  </si>
  <si>
    <t>均等割り</t>
  </si>
  <si>
    <t>予定納税対象所得</t>
  </si>
  <si>
    <t>所得控除</t>
  </si>
  <si>
    <t>源泉税額</t>
  </si>
  <si>
    <t>予定納税基準額</t>
  </si>
  <si>
    <t>注）</t>
  </si>
  <si>
    <t>上記金額は納税の目安としてください。</t>
  </si>
  <si>
    <t>配偶者控除</t>
  </si>
  <si>
    <t>保険料</t>
  </si>
  <si>
    <t>一般</t>
  </si>
  <si>
    <t>年金</t>
  </si>
  <si>
    <t>生命保険</t>
  </si>
  <si>
    <t>所得税</t>
  </si>
  <si>
    <t>住民税</t>
  </si>
  <si>
    <t>短期</t>
  </si>
  <si>
    <t>長期</t>
  </si>
  <si>
    <t>青色申告特別控除</t>
  </si>
  <si>
    <t>事業主控除</t>
  </si>
  <si>
    <t>事業の所得</t>
  </si>
  <si>
    <t>配偶者特別控除</t>
  </si>
  <si>
    <t>扶養控除</t>
  </si>
  <si>
    <t>一般の扶養親族</t>
  </si>
  <si>
    <t>年少扶養親族</t>
  </si>
  <si>
    <t>特定扶養親族</t>
  </si>
  <si>
    <t>老人扶養（同居老親以外）</t>
  </si>
  <si>
    <t>老人扶養（同居老親等）</t>
  </si>
  <si>
    <t>人数</t>
  </si>
  <si>
    <t>控除額</t>
  </si>
  <si>
    <t>上記のうち同居特別障害者</t>
  </si>
  <si>
    <t>合計</t>
  </si>
  <si>
    <t>源泉税額</t>
  </si>
  <si>
    <t>定率減税</t>
  </si>
  <si>
    <t>差引税額</t>
  </si>
  <si>
    <t>所得</t>
  </si>
  <si>
    <t>配当控除</t>
  </si>
  <si>
    <t>内雑・一時</t>
  </si>
  <si>
    <t>事業月数</t>
  </si>
  <si>
    <t>消費税</t>
  </si>
  <si>
    <t>確定税額</t>
  </si>
  <si>
    <t>中間納付税額</t>
  </si>
  <si>
    <t>地方消費税</t>
  </si>
  <si>
    <t>第１期</t>
  </si>
  <si>
    <t>第２期</t>
  </si>
  <si>
    <t>第３期</t>
  </si>
  <si>
    <t>消費税へ</t>
  </si>
  <si>
    <t>一人当り控除額</t>
  </si>
  <si>
    <t>配偶者所得</t>
  </si>
  <si>
    <t>住民税配偶者特別控除</t>
  </si>
  <si>
    <t>　　　　必ず確認してください。</t>
  </si>
  <si>
    <r>
      <t>　</t>
    </r>
    <r>
      <rPr>
        <sz val="11"/>
        <color indexed="10"/>
        <rFont val="ＭＳ ゴシック"/>
        <family val="3"/>
      </rPr>
      <t>　注）</t>
    </r>
    <r>
      <rPr>
        <sz val="11"/>
        <rFont val="ＭＳ ゴシック"/>
        <family val="3"/>
      </rPr>
      <t>分離課税に係わる税額は</t>
    </r>
  </si>
  <si>
    <t>確定</t>
  </si>
  <si>
    <t>住宅取得控除</t>
  </si>
  <si>
    <t>所得税H19～</t>
  </si>
  <si>
    <t>調整控除</t>
  </si>
  <si>
    <t>平成</t>
  </si>
  <si>
    <t>年</t>
  </si>
  <si>
    <t>納税予定表へ</t>
  </si>
  <si>
    <t>平成19年税率改正</t>
  </si>
  <si>
    <t>改正前</t>
  </si>
  <si>
    <t>改正後</t>
  </si>
  <si>
    <t>所得税額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</si>
</sst>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%"/>
    <numFmt numFmtId="177" formatCode="#,##0&quot;%&quot;"/>
  </numFmts>
  <fonts count="16"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4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u val="single"/>
      <sz val="9.35"/>
      <color indexed="12"/>
      <name val="ＭＳ ゴシック"/>
      <family val="3"/>
    </font>
    <font>
      <sz val="14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16"/>
      <name val="ＭＳ ゴシック"/>
      <family val="3"/>
    </font>
    <font>
      <b/>
      <u val="single"/>
      <sz val="16"/>
      <color indexed="12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u val="single"/>
      <sz val="14"/>
      <color indexed="12"/>
      <name val="ＭＳ ゴシック"/>
      <family val="3"/>
    </font>
    <font>
      <b/>
      <sz val="8"/>
      <name val="ＭＳ ゴシック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lightUp"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38" fontId="0" fillId="0" borderId="3" xfId="17" applyBorder="1" applyAlignment="1">
      <alignment/>
    </xf>
    <xf numFmtId="38" fontId="0" fillId="0" borderId="5" xfId="17" applyBorder="1" applyAlignment="1">
      <alignment/>
    </xf>
    <xf numFmtId="38" fontId="0" fillId="2" borderId="7" xfId="17" applyFill="1" applyBorder="1" applyAlignment="1">
      <alignment/>
    </xf>
    <xf numFmtId="38" fontId="0" fillId="2" borderId="8" xfId="17" applyFill="1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38" fontId="0" fillId="0" borderId="7" xfId="17" applyBorder="1" applyAlignment="1">
      <alignment/>
    </xf>
    <xf numFmtId="38" fontId="0" fillId="3" borderId="3" xfId="17" applyFill="1" applyBorder="1" applyAlignment="1">
      <alignment/>
    </xf>
    <xf numFmtId="38" fontId="0" fillId="3" borderId="7" xfId="17" applyFill="1" applyBorder="1" applyAlignment="1">
      <alignment/>
    </xf>
    <xf numFmtId="38" fontId="0" fillId="0" borderId="3" xfId="17" applyFill="1" applyBorder="1" applyAlignment="1">
      <alignment/>
    </xf>
    <xf numFmtId="38" fontId="0" fillId="4" borderId="7" xfId="17" applyFill="1" applyBorder="1" applyAlignment="1">
      <alignment/>
    </xf>
    <xf numFmtId="38" fontId="0" fillId="5" borderId="7" xfId="17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177" fontId="0" fillId="5" borderId="7" xfId="0" applyNumberFormat="1" applyFill="1" applyBorder="1" applyAlignment="1" applyProtection="1">
      <alignment/>
      <protection locked="0"/>
    </xf>
    <xf numFmtId="38" fontId="6" fillId="0" borderId="0" xfId="0" applyNumberFormat="1" applyFont="1" applyAlignment="1" applyProtection="1">
      <alignment/>
      <protection hidden="1"/>
    </xf>
    <xf numFmtId="0" fontId="0" fillId="4" borderId="7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38" fontId="0" fillId="0" borderId="0" xfId="17" applyFont="1" applyAlignment="1" applyProtection="1">
      <alignment/>
      <protection hidden="1"/>
    </xf>
    <xf numFmtId="38" fontId="0" fillId="0" borderId="7" xfId="17" applyFill="1" applyBorder="1" applyAlignment="1" applyProtection="1">
      <alignment/>
      <protection/>
    </xf>
    <xf numFmtId="38" fontId="0" fillId="0" borderId="7" xfId="17" applyFill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0" fillId="6" borderId="7" xfId="0" applyFill="1" applyBorder="1" applyAlignment="1">
      <alignment/>
    </xf>
    <xf numFmtId="38" fontId="0" fillId="6" borderId="7" xfId="17" applyFill="1" applyBorder="1" applyAlignment="1">
      <alignment/>
    </xf>
    <xf numFmtId="0" fontId="0" fillId="6" borderId="7" xfId="0" applyFill="1" applyBorder="1" applyAlignment="1" applyProtection="1">
      <alignment/>
      <protection/>
    </xf>
    <xf numFmtId="0" fontId="0" fillId="0" borderId="0" xfId="0" applyFill="1" applyAlignment="1">
      <alignment/>
    </xf>
    <xf numFmtId="38" fontId="0" fillId="0" borderId="3" xfId="17" applyBorder="1" applyAlignment="1" applyProtection="1">
      <alignment/>
      <protection locked="0"/>
    </xf>
    <xf numFmtId="38" fontId="0" fillId="0" borderId="7" xfId="17" applyFill="1" applyBorder="1" applyAlignment="1">
      <alignment/>
    </xf>
    <xf numFmtId="38" fontId="0" fillId="7" borderId="7" xfId="17" applyFill="1" applyBorder="1" applyAlignment="1" applyProtection="1">
      <alignment/>
      <protection locked="0"/>
    </xf>
    <xf numFmtId="38" fontId="0" fillId="0" borderId="7" xfId="17" applyFill="1" applyBorder="1" applyAlignment="1" applyProtection="1">
      <alignment/>
      <protection locked="0"/>
    </xf>
    <xf numFmtId="38" fontId="0" fillId="0" borderId="11" xfId="17" applyFill="1" applyBorder="1" applyAlignment="1" applyProtection="1">
      <alignment/>
      <protection/>
    </xf>
    <xf numFmtId="38" fontId="0" fillId="0" borderId="11" xfId="17" applyBorder="1" applyAlignment="1" applyProtection="1">
      <alignment/>
      <protection/>
    </xf>
    <xf numFmtId="0" fontId="0" fillId="1" borderId="7" xfId="0" applyFill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38" fontId="0" fillId="4" borderId="7" xfId="17" applyFill="1" applyBorder="1" applyAlignment="1" applyProtection="1">
      <alignment/>
      <protection locked="0"/>
    </xf>
    <xf numFmtId="38" fontId="0" fillId="4" borderId="2" xfId="17" applyFill="1" applyBorder="1" applyAlignment="1">
      <alignment/>
    </xf>
    <xf numFmtId="38" fontId="0" fillId="0" borderId="21" xfId="17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/>
    </xf>
    <xf numFmtId="0" fontId="0" fillId="6" borderId="9" xfId="0" applyFill="1" applyBorder="1" applyAlignment="1">
      <alignment/>
    </xf>
    <xf numFmtId="38" fontId="0" fillId="6" borderId="3" xfId="17" applyFill="1" applyBorder="1" applyAlignment="1">
      <alignment/>
    </xf>
    <xf numFmtId="38" fontId="0" fillId="8" borderId="7" xfId="17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0" borderId="7" xfId="0" applyFont="1" applyBorder="1" applyAlignment="1">
      <alignment horizontal="center"/>
    </xf>
    <xf numFmtId="38" fontId="0" fillId="4" borderId="7" xfId="17" applyFont="1" applyFill="1" applyBorder="1" applyAlignment="1">
      <alignment/>
    </xf>
    <xf numFmtId="0" fontId="0" fillId="4" borderId="7" xfId="0" applyFont="1" applyFill="1" applyBorder="1" applyAlignment="1">
      <alignment/>
    </xf>
    <xf numFmtId="38" fontId="0" fillId="4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6" borderId="7" xfId="0" applyFill="1" applyBorder="1" applyAlignment="1">
      <alignment/>
    </xf>
    <xf numFmtId="0" fontId="14" fillId="9" borderId="0" xfId="16" applyFont="1" applyFill="1" applyAlignment="1">
      <alignment horizontal="center" vertical="center"/>
    </xf>
    <xf numFmtId="0" fontId="0" fillId="5" borderId="4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0" borderId="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7" xfId="0" applyBorder="1" applyAlignment="1">
      <alignment horizontal="center"/>
    </xf>
    <xf numFmtId="0" fontId="11" fillId="10" borderId="0" xfId="16" applyFont="1" applyFill="1" applyAlignment="1">
      <alignment horizontal="center" vertical="center"/>
    </xf>
    <xf numFmtId="0" fontId="0" fillId="0" borderId="0" xfId="0" applyAlignment="1">
      <alignment/>
    </xf>
    <xf numFmtId="0" fontId="0" fillId="3" borderId="7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45</xdr:row>
      <xdr:rowOff>66675</xdr:rowOff>
    </xdr:from>
    <xdr:to>
      <xdr:col>7</xdr:col>
      <xdr:colOff>200025</xdr:colOff>
      <xdr:row>45</xdr:row>
      <xdr:rowOff>66675</xdr:rowOff>
    </xdr:to>
    <xdr:sp>
      <xdr:nvSpPr>
        <xdr:cNvPr id="1" name="Line 6"/>
        <xdr:cNvSpPr>
          <a:spLocks/>
        </xdr:cNvSpPr>
      </xdr:nvSpPr>
      <xdr:spPr>
        <a:xfrm flipH="1" flipV="1">
          <a:off x="4838700" y="82105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10</xdr:col>
      <xdr:colOff>9525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104900"/>
          <a:ext cx="12211050" cy="35718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3"/>
  <sheetViews>
    <sheetView tabSelected="1" zoomScale="85" zoomScaleNormal="85" workbookViewId="0" topLeftCell="A1">
      <selection activeCell="K58" sqref="K58"/>
    </sheetView>
  </sheetViews>
  <sheetFormatPr defaultColWidth="8.796875" defaultRowHeight="14.25"/>
  <cols>
    <col min="1" max="1" width="16.19921875" style="0" customWidth="1"/>
    <col min="2" max="2" width="2.5" style="0" customWidth="1"/>
    <col min="3" max="3" width="6.59765625" style="0" customWidth="1"/>
    <col min="4" max="4" width="5.09765625" style="0" customWidth="1"/>
    <col min="5" max="5" width="8.8984375" style="0" customWidth="1"/>
    <col min="6" max="7" width="11" style="0" customWidth="1"/>
    <col min="8" max="8" width="2.09765625" style="0" customWidth="1"/>
    <col min="9" max="9" width="10" style="0" customWidth="1"/>
    <col min="10" max="10" width="14" style="0" customWidth="1"/>
    <col min="11" max="11" width="11.59765625" style="0" bestFit="1" customWidth="1"/>
    <col min="14" max="14" width="0.8984375" style="0" customWidth="1"/>
  </cols>
  <sheetData>
    <row r="1" spans="1:16" ht="14.25">
      <c r="A1" t="s">
        <v>49</v>
      </c>
      <c r="B1" s="84"/>
      <c r="C1" s="85"/>
      <c r="D1" s="85"/>
      <c r="E1" s="85"/>
      <c r="F1" s="86"/>
      <c r="I1" s="17" t="s">
        <v>117</v>
      </c>
      <c r="J1" s="70">
        <v>19</v>
      </c>
      <c r="K1" t="s">
        <v>118</v>
      </c>
      <c r="L1" s="90" t="s">
        <v>107</v>
      </c>
      <c r="M1" s="90"/>
      <c r="O1" s="83" t="s">
        <v>119</v>
      </c>
      <c r="P1" s="83"/>
    </row>
    <row r="2" spans="12:16" ht="14.25">
      <c r="L2" s="90"/>
      <c r="M2" s="90"/>
      <c r="O2" s="83"/>
      <c r="P2" s="83"/>
    </row>
    <row r="3" spans="1:7" ht="14.25">
      <c r="A3" s="7" t="s">
        <v>96</v>
      </c>
      <c r="B3" s="21"/>
      <c r="C3" s="21"/>
      <c r="D3" s="21"/>
      <c r="E3" s="20"/>
      <c r="F3" s="19" t="s">
        <v>22</v>
      </c>
      <c r="G3" s="19" t="s">
        <v>23</v>
      </c>
    </row>
    <row r="4" spans="1:11" ht="14.25">
      <c r="A4" s="7" t="s">
        <v>0</v>
      </c>
      <c r="B4" s="21"/>
      <c r="C4" s="21"/>
      <c r="D4" s="21"/>
      <c r="E4" s="11"/>
      <c r="F4" s="33"/>
      <c r="G4" s="28">
        <f>F4</f>
        <v>0</v>
      </c>
      <c r="I4" s="81" t="s">
        <v>24</v>
      </c>
      <c r="J4" s="81"/>
      <c r="K4" s="33"/>
    </row>
    <row r="5" spans="1:12" ht="14.25">
      <c r="A5" s="7" t="s">
        <v>1</v>
      </c>
      <c r="B5" s="21"/>
      <c r="C5" s="21"/>
      <c r="D5" s="21"/>
      <c r="E5" s="11"/>
      <c r="F5" s="33"/>
      <c r="G5" s="28">
        <f>F5</f>
        <v>0</v>
      </c>
      <c r="I5" s="81" t="s">
        <v>79</v>
      </c>
      <c r="J5" s="81"/>
      <c r="K5" s="33">
        <v>450000</v>
      </c>
      <c r="L5" s="19" t="s">
        <v>99</v>
      </c>
    </row>
    <row r="6" spans="1:12" ht="14.25">
      <c r="A6" s="7" t="s">
        <v>2</v>
      </c>
      <c r="B6" s="21"/>
      <c r="C6" s="21"/>
      <c r="D6" s="21"/>
      <c r="E6" s="11"/>
      <c r="F6" s="33"/>
      <c r="G6" s="28">
        <f aca="true" t="shared" si="0" ref="G6:G12">F6</f>
        <v>0</v>
      </c>
      <c r="I6" s="81" t="s">
        <v>80</v>
      </c>
      <c r="J6" s="81"/>
      <c r="K6" s="28">
        <f>ROUNDDOWN(2900000*L6/12,0)</f>
        <v>2900000</v>
      </c>
      <c r="L6" s="37">
        <v>12</v>
      </c>
    </row>
    <row r="7" spans="1:11" ht="14.25">
      <c r="A7" s="7" t="s">
        <v>3</v>
      </c>
      <c r="B7" s="21"/>
      <c r="C7" s="21"/>
      <c r="D7" s="21"/>
      <c r="E7" s="11"/>
      <c r="F7" s="33"/>
      <c r="G7" s="28">
        <f t="shared" si="0"/>
        <v>0</v>
      </c>
      <c r="I7" s="92" t="s">
        <v>81</v>
      </c>
      <c r="J7" s="92"/>
      <c r="K7" s="30">
        <f>IF(G4+G5-K4+K5-K6&lt;0,0,G4+G5-K4+K5-K6)</f>
        <v>0</v>
      </c>
    </row>
    <row r="8" spans="1:7" ht="14.25">
      <c r="A8" s="7" t="s">
        <v>4</v>
      </c>
      <c r="B8" s="21"/>
      <c r="C8" s="21"/>
      <c r="D8" s="21"/>
      <c r="E8" s="11"/>
      <c r="F8" s="33"/>
      <c r="G8" s="28">
        <f t="shared" si="0"/>
        <v>0</v>
      </c>
    </row>
    <row r="9" spans="1:11" ht="14.25">
      <c r="A9" s="7" t="s">
        <v>6</v>
      </c>
      <c r="B9" s="21"/>
      <c r="C9" s="21"/>
      <c r="D9" s="21"/>
      <c r="E9" s="11"/>
      <c r="F9" s="33"/>
      <c r="G9" s="28">
        <f t="shared" si="0"/>
        <v>0</v>
      </c>
      <c r="I9" s="91" t="s">
        <v>50</v>
      </c>
      <c r="J9" s="91"/>
      <c r="K9" s="35">
        <v>5</v>
      </c>
    </row>
    <row r="10" spans="1:7" ht="14.25">
      <c r="A10" s="7" t="s">
        <v>5</v>
      </c>
      <c r="B10" s="21"/>
      <c r="C10" s="21"/>
      <c r="D10" s="21"/>
      <c r="E10" s="11"/>
      <c r="F10" s="33"/>
      <c r="G10" s="28">
        <f t="shared" si="0"/>
        <v>0</v>
      </c>
    </row>
    <row r="11" spans="1:11" ht="14.25">
      <c r="A11" s="22" t="s">
        <v>7</v>
      </c>
      <c r="B11" s="23"/>
      <c r="C11" s="23"/>
      <c r="D11" s="23"/>
      <c r="E11" s="29"/>
      <c r="F11" s="30">
        <f>SUM(F4:F10)</f>
        <v>0</v>
      </c>
      <c r="G11" s="30">
        <f t="shared" si="0"/>
        <v>0</v>
      </c>
      <c r="I11" s="91" t="s">
        <v>57</v>
      </c>
      <c r="J11" s="91"/>
      <c r="K11" s="30">
        <f>ROUNDDOWN(K7*K9/100,-2)</f>
        <v>0</v>
      </c>
    </row>
    <row r="12" spans="1:7" ht="14.25">
      <c r="A12" s="7" t="s">
        <v>8</v>
      </c>
      <c r="B12" s="21"/>
      <c r="C12" s="21"/>
      <c r="D12" s="21"/>
      <c r="E12" s="11"/>
      <c r="F12" s="33"/>
      <c r="G12" s="52">
        <f t="shared" si="0"/>
        <v>0</v>
      </c>
    </row>
    <row r="13" spans="5:7" ht="14.25">
      <c r="E13" s="1"/>
      <c r="F13" s="1"/>
      <c r="G13" s="1"/>
    </row>
    <row r="14" spans="1:7" ht="14.25">
      <c r="A14" s="19" t="s">
        <v>21</v>
      </c>
      <c r="B14" s="7"/>
      <c r="C14" s="21"/>
      <c r="D14" s="21"/>
      <c r="E14" s="11"/>
      <c r="F14" s="33"/>
      <c r="G14" s="28">
        <f>F14</f>
        <v>0</v>
      </c>
    </row>
    <row r="15" spans="1:7" ht="14.25">
      <c r="A15" s="19" t="s">
        <v>9</v>
      </c>
      <c r="B15" s="7"/>
      <c r="C15" s="21"/>
      <c r="D15" s="21"/>
      <c r="E15" s="11"/>
      <c r="F15" s="33"/>
      <c r="G15" s="28">
        <f>F15</f>
        <v>0</v>
      </c>
    </row>
    <row r="16" spans="1:16" ht="14.25">
      <c r="A16" s="19" t="s">
        <v>12</v>
      </c>
      <c r="B16" s="7"/>
      <c r="C16" s="21"/>
      <c r="D16" s="21"/>
      <c r="E16" s="11"/>
      <c r="F16" s="33"/>
      <c r="G16" s="28">
        <f>F16</f>
        <v>0</v>
      </c>
      <c r="I16" s="89" t="s">
        <v>83</v>
      </c>
      <c r="J16" s="89"/>
      <c r="K16" s="89" t="s">
        <v>89</v>
      </c>
      <c r="L16" s="89" t="s">
        <v>90</v>
      </c>
      <c r="M16" s="89"/>
      <c r="O16" s="89" t="s">
        <v>108</v>
      </c>
      <c r="P16" s="89"/>
    </row>
    <row r="17" spans="1:16" ht="14.25">
      <c r="A17" s="19" t="s">
        <v>10</v>
      </c>
      <c r="B17" s="7"/>
      <c r="C17" s="21"/>
      <c r="D17" s="21"/>
      <c r="E17" s="11"/>
      <c r="F17" s="33"/>
      <c r="G17" s="28">
        <f>F17</f>
        <v>0</v>
      </c>
      <c r="I17" s="89"/>
      <c r="J17" s="89"/>
      <c r="K17" s="89"/>
      <c r="L17" s="25" t="s">
        <v>75</v>
      </c>
      <c r="M17" s="25" t="s">
        <v>76</v>
      </c>
      <c r="O17" s="25" t="s">
        <v>75</v>
      </c>
      <c r="P17" s="25" t="s">
        <v>76</v>
      </c>
    </row>
    <row r="18" spans="1:16" ht="14.25">
      <c r="A18" s="19" t="s">
        <v>11</v>
      </c>
      <c r="B18" s="7"/>
      <c r="C18" s="20" t="s">
        <v>71</v>
      </c>
      <c r="D18" s="19" t="s">
        <v>72</v>
      </c>
      <c r="E18" s="33"/>
      <c r="F18" s="28">
        <f>E18*VLOOKUP(E18,所得生命,2)+VLOOKUP(E18,所得生命,3)</f>
        <v>0</v>
      </c>
      <c r="G18" s="28">
        <f>E18*VLOOKUP(E18,住民生命,2)+VLOOKUP(E18,住民生命,3)</f>
        <v>0</v>
      </c>
      <c r="I18" s="81" t="s">
        <v>84</v>
      </c>
      <c r="J18" s="81"/>
      <c r="K18" s="34"/>
      <c r="L18" s="28">
        <f aca="true" t="shared" si="1" ref="L18:M23">$K18*O18</f>
        <v>0</v>
      </c>
      <c r="M18" s="28">
        <f>$K18*P18</f>
        <v>0</v>
      </c>
      <c r="O18" s="19">
        <v>380000</v>
      </c>
      <c r="P18" s="19">
        <v>330000</v>
      </c>
    </row>
    <row r="19" spans="1:16" ht="14.25">
      <c r="A19" s="19"/>
      <c r="B19" s="7"/>
      <c r="C19" s="20"/>
      <c r="D19" s="19" t="s">
        <v>73</v>
      </c>
      <c r="E19" s="33"/>
      <c r="F19" s="28">
        <f>E19*VLOOKUP(E19,所得生命,2)+VLOOKUP(E19,所得生命,3)</f>
        <v>0</v>
      </c>
      <c r="G19" s="28">
        <f>E19*VLOOKUP(E19,住民生命,2)+VLOOKUP(E19,住民生命,3)</f>
        <v>0</v>
      </c>
      <c r="I19" s="82" t="s">
        <v>85</v>
      </c>
      <c r="J19" s="82"/>
      <c r="K19" s="49">
        <v>0</v>
      </c>
      <c r="L19" s="48">
        <f t="shared" si="1"/>
        <v>0</v>
      </c>
      <c r="M19" s="48">
        <f t="shared" si="1"/>
        <v>0</v>
      </c>
      <c r="N19" s="50">
        <v>0</v>
      </c>
      <c r="O19" s="47">
        <v>480000</v>
      </c>
      <c r="P19" s="47">
        <v>330000</v>
      </c>
    </row>
    <row r="20" spans="1:16" ht="14.25">
      <c r="A20" s="19" t="s">
        <v>13</v>
      </c>
      <c r="B20" s="46">
        <f>IF($E$20&lt;=2000,$E$20,IF($E$20&gt;4000,3000,$E$20/2+1000))</f>
        <v>0</v>
      </c>
      <c r="C20" s="20" t="s">
        <v>71</v>
      </c>
      <c r="D20" s="19" t="s">
        <v>77</v>
      </c>
      <c r="E20" s="33"/>
      <c r="F20" s="44"/>
      <c r="G20" s="28"/>
      <c r="H20" s="46">
        <f>IF($E$20&lt;=1000,$E$20,IF($E$20&gt;3000,2000,$E$20/2+500))</f>
        <v>0</v>
      </c>
      <c r="I20" s="81" t="s">
        <v>86</v>
      </c>
      <c r="J20" s="81"/>
      <c r="K20" s="34"/>
      <c r="L20" s="28">
        <f t="shared" si="1"/>
        <v>0</v>
      </c>
      <c r="M20" s="28">
        <f t="shared" si="1"/>
        <v>0</v>
      </c>
      <c r="O20" s="19">
        <v>630000</v>
      </c>
      <c r="P20" s="19">
        <v>450000</v>
      </c>
    </row>
    <row r="21" spans="1:16" ht="14.25">
      <c r="A21" s="19"/>
      <c r="B21" s="46">
        <f>IF($E$21&lt;=10000,$E$21,IF($E$21&gt;20000,15000,$E$21/2+5000))</f>
        <v>0</v>
      </c>
      <c r="C21" s="20"/>
      <c r="D21" s="19" t="s">
        <v>78</v>
      </c>
      <c r="E21" s="33"/>
      <c r="F21" s="45">
        <f>IF(B20+B21&gt;15000,15000,B20+B21)</f>
        <v>0</v>
      </c>
      <c r="G21" s="28">
        <f>IF(H20+H21&gt;10000,10000,H20+H21)</f>
        <v>0</v>
      </c>
      <c r="H21" s="46">
        <f>IF($E$21&lt;=5000,$E$21,IF($E$21&gt;15000,10000,$E$21/2+2500))</f>
        <v>0</v>
      </c>
      <c r="I21" s="81" t="s">
        <v>87</v>
      </c>
      <c r="J21" s="81"/>
      <c r="K21" s="34"/>
      <c r="L21" s="28">
        <f t="shared" si="1"/>
        <v>0</v>
      </c>
      <c r="M21" s="28">
        <f t="shared" si="1"/>
        <v>0</v>
      </c>
      <c r="O21" s="19">
        <v>480000</v>
      </c>
      <c r="P21" s="19">
        <v>380000</v>
      </c>
    </row>
    <row r="22" spans="1:16" ht="14.25">
      <c r="A22" s="19" t="s">
        <v>14</v>
      </c>
      <c r="B22" s="7"/>
      <c r="C22" s="21"/>
      <c r="D22" s="21"/>
      <c r="E22" s="11"/>
      <c r="F22" s="33"/>
      <c r="G22" s="53"/>
      <c r="I22" s="81" t="s">
        <v>88</v>
      </c>
      <c r="J22" s="81"/>
      <c r="K22" s="34"/>
      <c r="L22" s="28">
        <f t="shared" si="1"/>
        <v>0</v>
      </c>
      <c r="M22" s="28">
        <f>$K22*P22</f>
        <v>0</v>
      </c>
      <c r="O22" s="19">
        <v>580000</v>
      </c>
      <c r="P22" s="19">
        <v>450000</v>
      </c>
    </row>
    <row r="23" spans="1:16" ht="14.25">
      <c r="A23" s="57" t="s">
        <v>15</v>
      </c>
      <c r="B23" s="7"/>
      <c r="C23" s="21"/>
      <c r="D23" s="21"/>
      <c r="E23" s="11"/>
      <c r="F23" s="55"/>
      <c r="G23" s="56"/>
      <c r="I23" s="81" t="s">
        <v>91</v>
      </c>
      <c r="J23" s="81"/>
      <c r="K23" s="34"/>
      <c r="L23" s="28">
        <f t="shared" si="1"/>
        <v>0</v>
      </c>
      <c r="M23" s="28">
        <f t="shared" si="1"/>
        <v>0</v>
      </c>
      <c r="O23" s="19">
        <v>350000</v>
      </c>
      <c r="P23" s="19">
        <v>230000</v>
      </c>
    </row>
    <row r="24" spans="1:13" ht="14.25">
      <c r="A24" s="19" t="s">
        <v>16</v>
      </c>
      <c r="B24" s="7"/>
      <c r="C24" s="21"/>
      <c r="D24" s="21"/>
      <c r="E24" s="11"/>
      <c r="F24" s="33"/>
      <c r="G24" s="28">
        <f>IF(F24=0,0,IF(F24=270000,260000,300000))</f>
        <v>0</v>
      </c>
      <c r="I24" s="81" t="s">
        <v>92</v>
      </c>
      <c r="J24" s="81"/>
      <c r="K24" s="81"/>
      <c r="L24" s="32">
        <f>SUM(L18:L23)</f>
        <v>0</v>
      </c>
      <c r="M24" s="32">
        <f>SUM(M18:M23)</f>
        <v>0</v>
      </c>
    </row>
    <row r="25" spans="1:7" ht="14.25">
      <c r="A25" s="19" t="s">
        <v>17</v>
      </c>
      <c r="B25" s="7"/>
      <c r="C25" s="21"/>
      <c r="D25" s="21"/>
      <c r="E25" s="11"/>
      <c r="F25" s="33"/>
      <c r="G25" s="28">
        <f>IF(F25=0,0,260000)</f>
        <v>0</v>
      </c>
    </row>
    <row r="26" spans="1:7" ht="14.25">
      <c r="A26" s="19" t="s">
        <v>18</v>
      </c>
      <c r="B26" s="7"/>
      <c r="C26" s="21"/>
      <c r="D26" s="21"/>
      <c r="E26" s="11"/>
      <c r="F26" s="33"/>
      <c r="G26" s="28">
        <f>IF(F26=0,0,IF(F26=270000,260000,300000))</f>
        <v>0</v>
      </c>
    </row>
    <row r="27" spans="1:7" ht="14.25">
      <c r="A27" s="19" t="s">
        <v>82</v>
      </c>
      <c r="B27" s="7"/>
      <c r="C27" s="21" t="s">
        <v>109</v>
      </c>
      <c r="D27" s="21"/>
      <c r="E27" s="33"/>
      <c r="F27" s="44">
        <f>VLOOKUP(E27,配偶者特別,2)</f>
        <v>0</v>
      </c>
      <c r="G27" s="28">
        <f>VLOOKUP(E27,住民配特,2)</f>
        <v>0</v>
      </c>
    </row>
    <row r="28" spans="1:7" ht="14.25">
      <c r="A28" s="19" t="s">
        <v>70</v>
      </c>
      <c r="B28" s="7"/>
      <c r="C28" s="21"/>
      <c r="D28" s="21"/>
      <c r="E28" s="51"/>
      <c r="F28" s="33"/>
      <c r="G28" s="28">
        <f>VLOOKUP(F28,配偶者控除,2)</f>
        <v>0</v>
      </c>
    </row>
    <row r="29" spans="1:7" ht="14.25">
      <c r="A29" s="19" t="s">
        <v>19</v>
      </c>
      <c r="B29" s="7"/>
      <c r="C29" s="21"/>
      <c r="D29" s="21"/>
      <c r="E29" s="11"/>
      <c r="F29" s="28">
        <f>L24</f>
        <v>0</v>
      </c>
      <c r="G29" s="28">
        <f>M24</f>
        <v>0</v>
      </c>
    </row>
    <row r="30" spans="1:7" ht="14.25">
      <c r="A30" s="19" t="s">
        <v>20</v>
      </c>
      <c r="B30" s="7"/>
      <c r="C30" s="21"/>
      <c r="D30" s="21"/>
      <c r="E30" s="11"/>
      <c r="F30" s="28">
        <v>380000</v>
      </c>
      <c r="G30" s="28">
        <v>330000</v>
      </c>
    </row>
    <row r="31" spans="1:7" ht="14.25">
      <c r="A31" s="24" t="s">
        <v>7</v>
      </c>
      <c r="B31" s="22"/>
      <c r="C31" s="23"/>
      <c r="D31" s="23"/>
      <c r="E31" s="29"/>
      <c r="F31" s="30">
        <f>SUM(F15:F30)</f>
        <v>380000</v>
      </c>
      <c r="G31" s="30">
        <f>SUM(G14:G30)</f>
        <v>330000</v>
      </c>
    </row>
    <row r="32" spans="5:7" ht="14.25">
      <c r="E32" s="1"/>
      <c r="F32" s="1"/>
      <c r="G32" s="1"/>
    </row>
    <row r="33" spans="1:10" ht="14.25">
      <c r="A33" s="24" t="s">
        <v>54</v>
      </c>
      <c r="B33" s="22"/>
      <c r="C33" s="23"/>
      <c r="D33" s="23"/>
      <c r="E33" s="29"/>
      <c r="F33" s="30">
        <f>MAX(0,ROUNDDOWN(F11-F31,-3))</f>
        <v>0</v>
      </c>
      <c r="G33" s="30">
        <f>MAX(0,ROUNDDOWN(G11-G31,-3))</f>
        <v>0</v>
      </c>
      <c r="J33" s="69"/>
    </row>
    <row r="34" spans="1:10" ht="14.25">
      <c r="A34" s="24" t="s">
        <v>52</v>
      </c>
      <c r="B34" s="22"/>
      <c r="C34" s="23"/>
      <c r="D34" s="23"/>
      <c r="E34" s="29"/>
      <c r="F34" s="30">
        <f>IF(J1=18,F33*VLOOKUP(F33,所得税率,2)-VLOOKUP(F33,所得税率,3),F33*VLOOKUP(F33,H19所得税,2)-VLOOKUP(F33,H19所得税,3))</f>
        <v>0</v>
      </c>
      <c r="G34" s="30">
        <f>J34+J35-J36+J37</f>
        <v>4000</v>
      </c>
      <c r="I34" s="19" t="s">
        <v>53</v>
      </c>
      <c r="J34" s="68">
        <f>ROUNDDOWN($G$33*0.04,-2)</f>
        <v>0</v>
      </c>
    </row>
    <row r="35" spans="5:12" ht="14.25">
      <c r="E35" s="1"/>
      <c r="F35" s="1"/>
      <c r="G35" s="1"/>
      <c r="I35" s="19" t="s">
        <v>26</v>
      </c>
      <c r="J35" s="32">
        <f>ROUNDDOWN($G$33*0.06,-2)</f>
        <v>0</v>
      </c>
      <c r="K35" s="36">
        <f>J34+J35</f>
        <v>0</v>
      </c>
      <c r="L35" s="38">
        <f>K35*0.15</f>
        <v>0</v>
      </c>
    </row>
    <row r="36" spans="5:10" ht="14.25">
      <c r="E36" s="1"/>
      <c r="F36" s="1"/>
      <c r="G36" s="1"/>
      <c r="I36" s="19" t="s">
        <v>116</v>
      </c>
      <c r="J36" s="67">
        <f>IF(G33&lt;=2000000,MIN(G33,F31-G31)*0.05,MAX(50000,F31-G31-G33+2000000)*0.05)</f>
        <v>0</v>
      </c>
    </row>
    <row r="37" spans="5:10" ht="14.25">
      <c r="E37" s="1"/>
      <c r="F37" s="1"/>
      <c r="G37" s="1"/>
      <c r="I37" s="19" t="s">
        <v>63</v>
      </c>
      <c r="J37" s="32">
        <v>4000</v>
      </c>
    </row>
    <row r="38" spans="1:10" ht="14.25">
      <c r="A38" s="22" t="s">
        <v>55</v>
      </c>
      <c r="B38" s="23"/>
      <c r="C38" s="23"/>
      <c r="D38" s="23"/>
      <c r="E38" s="29"/>
      <c r="F38" s="30">
        <f>ROUNDDOWN(F12,-3)</f>
        <v>0</v>
      </c>
      <c r="G38" s="30">
        <f>ROUNDDOWN(G12,-3)</f>
        <v>0</v>
      </c>
      <c r="J38" s="1"/>
    </row>
    <row r="39" spans="1:11" ht="14.25">
      <c r="A39" s="22" t="s">
        <v>52</v>
      </c>
      <c r="B39" s="23"/>
      <c r="C39" s="23"/>
      <c r="D39" s="23"/>
      <c r="E39" s="29"/>
      <c r="F39" s="33"/>
      <c r="G39" s="53">
        <f>J39+J40</f>
        <v>0</v>
      </c>
      <c r="I39" s="19" t="s">
        <v>53</v>
      </c>
      <c r="J39" s="32">
        <f>G38*0.02</f>
        <v>0</v>
      </c>
      <c r="K39" t="s">
        <v>112</v>
      </c>
    </row>
    <row r="40" spans="5:11" ht="14.25">
      <c r="E40" s="1"/>
      <c r="F40" s="1"/>
      <c r="G40" s="1"/>
      <c r="I40" s="19" t="s">
        <v>26</v>
      </c>
      <c r="J40" s="32">
        <f>G38*0.03</f>
        <v>0</v>
      </c>
      <c r="K40" t="s">
        <v>111</v>
      </c>
    </row>
    <row r="41" spans="5:7" ht="14.25">
      <c r="E41" s="1"/>
      <c r="F41" s="1"/>
      <c r="G41" s="1"/>
    </row>
    <row r="42" spans="1:7" ht="14.25">
      <c r="A42" s="22" t="s">
        <v>58</v>
      </c>
      <c r="B42" s="23"/>
      <c r="C42" s="23"/>
      <c r="D42" s="23"/>
      <c r="E42" s="29"/>
      <c r="F42" s="30">
        <f>F34+F39</f>
        <v>0</v>
      </c>
      <c r="G42" s="30">
        <f>ROUNDDOWN(G34+G39,-2)</f>
        <v>4000</v>
      </c>
    </row>
    <row r="43" spans="1:7" ht="14.25">
      <c r="A43" s="26" t="s">
        <v>97</v>
      </c>
      <c r="B43" s="27"/>
      <c r="C43" s="27"/>
      <c r="D43" s="27"/>
      <c r="E43" s="31"/>
      <c r="F43" s="33"/>
      <c r="G43" s="33"/>
    </row>
    <row r="44" spans="1:7" ht="14.25">
      <c r="A44" s="26" t="s">
        <v>114</v>
      </c>
      <c r="B44" s="27"/>
      <c r="C44" s="27"/>
      <c r="D44" s="27"/>
      <c r="E44" s="31"/>
      <c r="F44" s="33"/>
      <c r="G44" s="54"/>
    </row>
    <row r="45" spans="1:7" ht="14.25">
      <c r="A45" s="7" t="s">
        <v>94</v>
      </c>
      <c r="B45" s="21"/>
      <c r="C45" s="21"/>
      <c r="D45" s="21"/>
      <c r="E45" s="11"/>
      <c r="F45" s="32">
        <f>IF(J1=18,MIN(INT((F42-F43-F44)*0.1),125000),0)</f>
        <v>0</v>
      </c>
      <c r="G45" s="32">
        <v>0</v>
      </c>
    </row>
    <row r="46" spans="1:10" ht="14.25">
      <c r="A46" s="7" t="s">
        <v>93</v>
      </c>
      <c r="B46" s="21"/>
      <c r="C46" s="21"/>
      <c r="D46" s="21"/>
      <c r="E46" s="11"/>
      <c r="F46" s="33"/>
      <c r="G46" s="28"/>
      <c r="I46" s="19" t="s">
        <v>98</v>
      </c>
      <c r="J46" s="33"/>
    </row>
    <row r="47" spans="1:7" ht="14.25">
      <c r="A47" s="7" t="s">
        <v>95</v>
      </c>
      <c r="B47" s="21"/>
      <c r="C47" s="21"/>
      <c r="D47" s="21"/>
      <c r="E47" s="11"/>
      <c r="F47" s="32">
        <f>IF(F42-F43-F44-F45-F46&lt;0,F42-F43-F44-F45-F46,ROUNDDOWN(F42-F43-F44-F45-F46,-2))</f>
        <v>0</v>
      </c>
      <c r="G47" s="28"/>
    </row>
    <row r="48" spans="1:7" ht="14.25">
      <c r="A48" s="7" t="s">
        <v>59</v>
      </c>
      <c r="B48" s="21"/>
      <c r="C48" s="21"/>
      <c r="D48" s="21"/>
      <c r="E48" s="11"/>
      <c r="F48" s="33"/>
      <c r="G48" s="28"/>
    </row>
    <row r="49" spans="1:7" ht="14.25">
      <c r="A49" s="7" t="s">
        <v>60</v>
      </c>
      <c r="B49" s="21"/>
      <c r="C49" s="21"/>
      <c r="D49" s="21"/>
      <c r="E49" s="11"/>
      <c r="F49" s="32">
        <f>F48</f>
        <v>0</v>
      </c>
      <c r="G49" s="28"/>
    </row>
    <row r="50" spans="1:13" ht="20.25">
      <c r="A50" s="7" t="s">
        <v>61</v>
      </c>
      <c r="B50" s="21"/>
      <c r="C50" s="21"/>
      <c r="D50" s="21"/>
      <c r="E50" s="11"/>
      <c r="F50" s="30">
        <f>F47-F48-F49</f>
        <v>0</v>
      </c>
      <c r="G50" s="30">
        <f>IF(G42-G43&lt;0,0,ROUND(G42-G43,-2))</f>
        <v>4000</v>
      </c>
      <c r="M50" s="40"/>
    </row>
    <row r="51" spans="1:7" ht="14.25">
      <c r="A51" s="7" t="s">
        <v>62</v>
      </c>
      <c r="B51" s="21"/>
      <c r="C51" s="21"/>
      <c r="D51" s="21"/>
      <c r="E51" s="11"/>
      <c r="F51" s="28">
        <v>0</v>
      </c>
      <c r="G51" s="28"/>
    </row>
    <row r="52" spans="5:7" ht="14.25">
      <c r="E52" s="1"/>
      <c r="F52" s="1"/>
      <c r="G52" s="1"/>
    </row>
    <row r="53" spans="5:16" ht="14.25">
      <c r="E53" s="1"/>
      <c r="F53" s="1"/>
      <c r="G53" s="1"/>
      <c r="J53" s="41"/>
      <c r="K53" s="41"/>
      <c r="L53" s="41"/>
      <c r="M53" s="41"/>
      <c r="N53" s="41"/>
      <c r="O53" s="41"/>
      <c r="P53" s="41"/>
    </row>
    <row r="54" spans="1:16" ht="14.25">
      <c r="A54" s="7" t="s">
        <v>64</v>
      </c>
      <c r="B54" s="21"/>
      <c r="C54" s="21"/>
      <c r="D54" s="21"/>
      <c r="E54" s="11"/>
      <c r="F54" s="32">
        <f>F11-F10-F9-F8</f>
        <v>0</v>
      </c>
      <c r="G54" s="1"/>
      <c r="J54" s="41"/>
      <c r="K54" s="41"/>
      <c r="L54" s="41"/>
      <c r="M54" s="41"/>
      <c r="N54" s="41"/>
      <c r="O54" s="41"/>
      <c r="P54" s="41"/>
    </row>
    <row r="55" spans="1:16" ht="14.25">
      <c r="A55" s="7" t="s">
        <v>65</v>
      </c>
      <c r="B55" s="21"/>
      <c r="C55" s="21"/>
      <c r="D55" s="21"/>
      <c r="E55" s="11"/>
      <c r="F55" s="32">
        <f>F31</f>
        <v>380000</v>
      </c>
      <c r="G55" s="1"/>
      <c r="I55" s="88"/>
      <c r="J55" s="87" t="s">
        <v>120</v>
      </c>
      <c r="K55" s="87"/>
      <c r="L55" s="41"/>
      <c r="M55" s="41"/>
      <c r="N55" s="41"/>
      <c r="O55" s="41"/>
      <c r="P55" s="41"/>
    </row>
    <row r="56" spans="1:16" ht="14.25">
      <c r="A56" s="7" t="s">
        <v>51</v>
      </c>
      <c r="B56" s="21"/>
      <c r="C56" s="21"/>
      <c r="D56" s="21"/>
      <c r="E56" s="11"/>
      <c r="F56" s="32">
        <f>MAX(0,ROUNDDOWN(F54-F55,-3))</f>
        <v>0</v>
      </c>
      <c r="G56" s="1"/>
      <c r="I56" s="88"/>
      <c r="J56" s="77" t="s">
        <v>121</v>
      </c>
      <c r="K56" s="77" t="s">
        <v>122</v>
      </c>
      <c r="L56" s="41"/>
      <c r="M56" s="41"/>
      <c r="N56" s="41"/>
      <c r="O56" s="41"/>
      <c r="P56" s="41"/>
    </row>
    <row r="57" spans="1:16" ht="14.25">
      <c r="A57" s="7" t="s">
        <v>52</v>
      </c>
      <c r="B57" s="21"/>
      <c r="C57" s="21"/>
      <c r="D57" s="21"/>
      <c r="E57" s="11"/>
      <c r="F57" s="32">
        <f>IF($J$1=18,MIN(J59,K57),K57)</f>
        <v>0</v>
      </c>
      <c r="G57" s="1"/>
      <c r="I57" s="19" t="s">
        <v>123</v>
      </c>
      <c r="J57" s="78">
        <f>$F$56*VLOOKUP($F$56,所得税率,2)-VLOOKUP($F$56,所得税率,3)</f>
        <v>0</v>
      </c>
      <c r="K57" s="78">
        <f>$F$56*VLOOKUP($F$56,H19所得税,2)-VLOOKUP($F$56,H19所得税,3)</f>
        <v>0</v>
      </c>
      <c r="L57" s="41"/>
      <c r="M57" s="41"/>
      <c r="N57" s="41"/>
      <c r="O57" s="41"/>
      <c r="P57" s="41"/>
    </row>
    <row r="58" spans="1:16" ht="14.25">
      <c r="A58" s="71" t="s">
        <v>94</v>
      </c>
      <c r="B58" s="72"/>
      <c r="C58" s="72"/>
      <c r="D58" s="72"/>
      <c r="E58" s="73"/>
      <c r="F58" s="74">
        <v>0</v>
      </c>
      <c r="G58" s="74">
        <v>0</v>
      </c>
      <c r="I58" s="19" t="s">
        <v>94</v>
      </c>
      <c r="J58" s="78">
        <f>IF(J1=18,MIN(INT(J57*0.1),125000),0)</f>
        <v>0</v>
      </c>
      <c r="K58" s="79"/>
      <c r="L58" s="41"/>
      <c r="M58" s="41"/>
      <c r="N58" s="41"/>
      <c r="O58" s="41"/>
      <c r="P58" s="41"/>
    </row>
    <row r="59" spans="1:16" ht="14.25">
      <c r="A59" s="7" t="s">
        <v>66</v>
      </c>
      <c r="B59" s="21"/>
      <c r="C59" s="21"/>
      <c r="D59" s="21"/>
      <c r="E59" s="11"/>
      <c r="F59" s="32">
        <f>F46-J46</f>
        <v>0</v>
      </c>
      <c r="G59" s="1"/>
      <c r="I59" s="19" t="s">
        <v>95</v>
      </c>
      <c r="J59" s="80">
        <f>J57-J58</f>
        <v>0</v>
      </c>
      <c r="K59" s="80">
        <f>K57</f>
        <v>0</v>
      </c>
      <c r="L59" s="41"/>
      <c r="M59" s="41"/>
      <c r="N59" s="41"/>
      <c r="O59" s="41"/>
      <c r="P59" s="41"/>
    </row>
    <row r="60" spans="1:16" ht="14.25">
      <c r="A60" s="7" t="s">
        <v>67</v>
      </c>
      <c r="B60" s="21"/>
      <c r="C60" s="21"/>
      <c r="D60" s="21"/>
      <c r="E60" s="11"/>
      <c r="F60" s="30">
        <f>ROUNDDOWN(F57-F58-F59,-2)</f>
        <v>0</v>
      </c>
      <c r="G60" s="1"/>
      <c r="J60" s="75"/>
      <c r="K60" s="75"/>
      <c r="L60" s="41"/>
      <c r="M60" s="41"/>
      <c r="N60" s="41"/>
      <c r="O60" s="41"/>
      <c r="P60" s="41"/>
    </row>
    <row r="61" spans="10:16" ht="14.25">
      <c r="J61" s="41"/>
      <c r="K61" s="76"/>
      <c r="L61" s="41"/>
      <c r="M61" s="41"/>
      <c r="N61" s="41"/>
      <c r="O61" s="41"/>
      <c r="P61" s="41"/>
    </row>
    <row r="62" spans="10:16" ht="14.25">
      <c r="J62" s="41"/>
      <c r="K62" s="41"/>
      <c r="L62" s="41"/>
      <c r="M62" s="41"/>
      <c r="N62" s="41"/>
      <c r="O62" s="41"/>
      <c r="P62" s="41"/>
    </row>
    <row r="63" spans="1:16" ht="17.25">
      <c r="A63" s="39" t="s">
        <v>100</v>
      </c>
      <c r="J63" s="41"/>
      <c r="K63" s="41"/>
      <c r="L63" s="41"/>
      <c r="M63" s="41"/>
      <c r="N63" s="41"/>
      <c r="O63" s="41"/>
      <c r="P63" s="41"/>
    </row>
    <row r="65" spans="1:6" ht="13.5">
      <c r="A65" s="19" t="s">
        <v>101</v>
      </c>
      <c r="B65" s="7" t="s">
        <v>100</v>
      </c>
      <c r="C65" s="21"/>
      <c r="D65" s="20"/>
      <c r="E65" s="33"/>
      <c r="F65" s="28"/>
    </row>
    <row r="66" spans="1:10" ht="13.5">
      <c r="A66" s="19"/>
      <c r="B66" s="7" t="s">
        <v>103</v>
      </c>
      <c r="C66" s="21"/>
      <c r="D66" s="20"/>
      <c r="E66" s="33"/>
      <c r="F66" s="32">
        <f>SUM(E65:E66)</f>
        <v>0</v>
      </c>
      <c r="I66" s="41"/>
      <c r="J66" s="41"/>
    </row>
    <row r="67" spans="1:10" ht="13.5">
      <c r="A67" s="19" t="s">
        <v>102</v>
      </c>
      <c r="B67" s="7" t="s">
        <v>100</v>
      </c>
      <c r="C67" s="21"/>
      <c r="D67" s="20"/>
      <c r="E67" s="33"/>
      <c r="F67" s="28"/>
      <c r="I67" s="42"/>
      <c r="J67" s="43"/>
    </row>
    <row r="68" spans="1:10" ht="13.5">
      <c r="A68" s="19"/>
      <c r="B68" s="7" t="s">
        <v>103</v>
      </c>
      <c r="C68" s="21"/>
      <c r="D68" s="20"/>
      <c r="E68" s="33"/>
      <c r="F68" s="32">
        <f>SUM(E67:E68)</f>
        <v>0</v>
      </c>
      <c r="I68" s="41"/>
      <c r="J68" s="41"/>
    </row>
    <row r="69" spans="1:6" ht="13.5">
      <c r="A69" s="7" t="s">
        <v>92</v>
      </c>
      <c r="B69" s="21"/>
      <c r="C69" s="21"/>
      <c r="D69" s="21"/>
      <c r="E69" s="11"/>
      <c r="F69" s="32">
        <f>SUM(F68,F66)</f>
        <v>0</v>
      </c>
    </row>
    <row r="70" spans="5:6" ht="13.5">
      <c r="E70" s="1"/>
      <c r="F70" s="1"/>
    </row>
    <row r="71" spans="1:6" ht="13.5">
      <c r="A71" s="7" t="s">
        <v>104</v>
      </c>
      <c r="B71" s="21"/>
      <c r="C71" s="21"/>
      <c r="D71" s="21"/>
      <c r="E71" s="11"/>
      <c r="F71" s="32">
        <f>MIN(F72:F73)</f>
        <v>0</v>
      </c>
    </row>
    <row r="72" spans="1:6" ht="13.5">
      <c r="A72" s="7" t="s">
        <v>105</v>
      </c>
      <c r="B72" s="21"/>
      <c r="C72" s="21"/>
      <c r="D72" s="21"/>
      <c r="E72" s="11"/>
      <c r="F72" s="32">
        <f>ROUNDDOWN(IF(F69&gt;5000000,ROUNDDOWN(F69/4,-2),IF(F69&gt;600000,F69/2,0)),-2)</f>
        <v>0</v>
      </c>
    </row>
    <row r="73" spans="1:6" ht="13.5">
      <c r="A73" s="7" t="s">
        <v>106</v>
      </c>
      <c r="B73" s="21"/>
      <c r="C73" s="21"/>
      <c r="D73" s="21"/>
      <c r="E73" s="11"/>
      <c r="F73" s="32">
        <f>ROUNDDOWN(IF(F69&gt;5000000,ROUNDDOWN(F69/4,-2),0),-2)</f>
        <v>0</v>
      </c>
    </row>
  </sheetData>
  <sheetProtection password="CCA4" sheet="1" objects="1" scenarios="1"/>
  <mergeCells count="22">
    <mergeCell ref="J55:K55"/>
    <mergeCell ref="I55:I56"/>
    <mergeCell ref="O16:P16"/>
    <mergeCell ref="L1:M2"/>
    <mergeCell ref="I9:J9"/>
    <mergeCell ref="I11:J11"/>
    <mergeCell ref="I16:J17"/>
    <mergeCell ref="I7:J7"/>
    <mergeCell ref="K16:K17"/>
    <mergeCell ref="L16:M16"/>
    <mergeCell ref="O1:P2"/>
    <mergeCell ref="B1:F1"/>
    <mergeCell ref="I4:J4"/>
    <mergeCell ref="I5:J5"/>
    <mergeCell ref="I6:J6"/>
    <mergeCell ref="I18:J18"/>
    <mergeCell ref="I19:J19"/>
    <mergeCell ref="I20:J20"/>
    <mergeCell ref="I24:K24"/>
    <mergeCell ref="I21:J21"/>
    <mergeCell ref="I22:J22"/>
    <mergeCell ref="I23:J23"/>
  </mergeCells>
  <dataValidations count="13">
    <dataValidation type="whole" operator="lessThanOrEqual" allowBlank="1" showInputMessage="1" showErrorMessage="1" sqref="F15">
      <formula1>2000000</formula1>
    </dataValidation>
    <dataValidation type="whole" operator="lessThan" allowBlank="1" showInputMessage="1" showErrorMessage="1" sqref="F18:F19">
      <formula1>100000</formula1>
    </dataValidation>
    <dataValidation operator="lessThan" allowBlank="1" showInputMessage="1" showErrorMessage="1" sqref="G18:G19"/>
    <dataValidation type="list" allowBlank="1" showInputMessage="1" showErrorMessage="1" sqref="K9">
      <formula1>"3,4,5"</formula1>
    </dataValidation>
    <dataValidation allowBlank="1" showInputMessage="1" showErrorMessage="1" imeMode="on" sqref="B1:F1"/>
    <dataValidation allowBlank="1" showInputMessage="1" showErrorMessage="1" imeMode="halfAlpha" sqref="L38"/>
    <dataValidation allowBlank="1" showInputMessage="1" showErrorMessage="1" imeMode="off" sqref="F4:F10 F12"/>
    <dataValidation type="list" allowBlank="1" showInputMessage="1" showErrorMessage="1" sqref="F23">
      <formula1>"0,500000"</formula1>
    </dataValidation>
    <dataValidation type="list" allowBlank="1" showInputMessage="1" showErrorMessage="1" sqref="F24">
      <formula1>"0,270000,350000"</formula1>
    </dataValidation>
    <dataValidation type="list" allowBlank="1" showInputMessage="1" showErrorMessage="1" sqref="F25">
      <formula1>"0,270000"</formula1>
    </dataValidation>
    <dataValidation type="list" allowBlank="1" showInputMessage="1" showErrorMessage="1" sqref="F26">
      <formula1>"0,270000,400000"</formula1>
    </dataValidation>
    <dataValidation type="list" allowBlank="1" showInputMessage="1" showErrorMessage="1" sqref="F28">
      <formula1>"0,380000,480000,730000,830000"</formula1>
    </dataValidation>
    <dataValidation type="whole" allowBlank="1" showInputMessage="1" showErrorMessage="1" sqref="J1">
      <formula1>18</formula1>
      <formula2>25</formula2>
    </dataValidation>
  </dataValidations>
  <hyperlinks>
    <hyperlink ref="L1:M2" location="入力!A62" display="消費税へ"/>
    <hyperlink ref="O1:P2" location="納税予定表!A1" display="納税予定表へ"/>
  </hyperlinks>
  <printOptions/>
  <pageMargins left="0.18" right="0.18" top="0.31" bottom="0.32" header="0.19" footer="0.18"/>
  <pageSetup fitToHeight="1" fitToWidth="1" horizontalDpi="300" verticalDpi="3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workbookViewId="0" topLeftCell="A1">
      <selection activeCell="C12" sqref="C12"/>
    </sheetView>
  </sheetViews>
  <sheetFormatPr defaultColWidth="8.796875" defaultRowHeight="14.25"/>
  <cols>
    <col min="1" max="1" width="12.09765625" style="0" bestFit="1" customWidth="1"/>
    <col min="2" max="2" width="9.09765625" style="0" bestFit="1" customWidth="1"/>
    <col min="3" max="3" width="11" style="0" bestFit="1" customWidth="1"/>
    <col min="5" max="5" width="11.09765625" style="0" bestFit="1" customWidth="1"/>
  </cols>
  <sheetData>
    <row r="1" spans="1:5" ht="13.5">
      <c r="A1" s="58" t="s">
        <v>25</v>
      </c>
      <c r="B1" s="59"/>
      <c r="C1" s="60"/>
      <c r="E1" t="s">
        <v>56</v>
      </c>
    </row>
    <row r="2" spans="1:6" ht="13.5">
      <c r="A2" s="61">
        <v>0</v>
      </c>
      <c r="B2" s="62">
        <v>0.02</v>
      </c>
      <c r="C2" s="63">
        <v>0</v>
      </c>
      <c r="E2">
        <v>0</v>
      </c>
      <c r="F2">
        <v>0.02</v>
      </c>
    </row>
    <row r="3" spans="1:5" ht="13.5">
      <c r="A3" s="61">
        <v>7000000</v>
      </c>
      <c r="B3" s="62">
        <v>0.03</v>
      </c>
      <c r="C3" s="63">
        <v>70000</v>
      </c>
      <c r="E3" s="1"/>
    </row>
    <row r="4" spans="1:3" ht="13.5">
      <c r="A4" s="61"/>
      <c r="B4" s="62"/>
      <c r="C4" s="63"/>
    </row>
    <row r="5" spans="1:5" ht="13.5">
      <c r="A5" s="61" t="s">
        <v>26</v>
      </c>
      <c r="B5" s="62"/>
      <c r="C5" s="63"/>
      <c r="E5" t="s">
        <v>56</v>
      </c>
    </row>
    <row r="6" spans="1:6" ht="13.5">
      <c r="A6" s="61">
        <v>0</v>
      </c>
      <c r="B6" s="62">
        <v>0.03</v>
      </c>
      <c r="C6" s="63">
        <v>0</v>
      </c>
      <c r="E6">
        <v>0</v>
      </c>
      <c r="F6">
        <v>0.04</v>
      </c>
    </row>
    <row r="7" spans="1:7" ht="13.5">
      <c r="A7" s="61">
        <v>2000000</v>
      </c>
      <c r="B7" s="62">
        <v>0.08</v>
      </c>
      <c r="C7" s="63">
        <v>100000</v>
      </c>
      <c r="E7">
        <v>60000000</v>
      </c>
      <c r="F7">
        <v>0.055</v>
      </c>
      <c r="G7">
        <v>900000</v>
      </c>
    </row>
    <row r="8" spans="1:3" ht="13.5">
      <c r="A8" s="64">
        <v>7000000</v>
      </c>
      <c r="B8" s="65">
        <v>0.1</v>
      </c>
      <c r="C8" s="66">
        <v>240000</v>
      </c>
    </row>
    <row r="15" spans="1:5" ht="13.5">
      <c r="A15" t="s">
        <v>22</v>
      </c>
      <c r="E15" t="s">
        <v>115</v>
      </c>
    </row>
    <row r="16" spans="1:7" ht="13.5">
      <c r="A16">
        <v>0</v>
      </c>
      <c r="B16">
        <v>0.1</v>
      </c>
      <c r="C16">
        <v>0</v>
      </c>
      <c r="E16">
        <v>0</v>
      </c>
      <c r="F16">
        <v>0.05</v>
      </c>
      <c r="G16">
        <v>0</v>
      </c>
    </row>
    <row r="17" spans="1:7" ht="13.5">
      <c r="A17">
        <v>3300000</v>
      </c>
      <c r="B17">
        <v>0.2</v>
      </c>
      <c r="C17">
        <v>330000</v>
      </c>
      <c r="E17">
        <v>1950000</v>
      </c>
      <c r="F17">
        <v>0.1</v>
      </c>
      <c r="G17">
        <v>97500</v>
      </c>
    </row>
    <row r="18" spans="1:7" ht="13.5">
      <c r="A18">
        <v>9000000</v>
      </c>
      <c r="B18">
        <v>0.3</v>
      </c>
      <c r="C18">
        <v>1230000</v>
      </c>
      <c r="E18">
        <v>3300000</v>
      </c>
      <c r="F18">
        <v>0.2</v>
      </c>
      <c r="G18">
        <v>427500</v>
      </c>
    </row>
    <row r="19" spans="1:7" ht="13.5">
      <c r="A19">
        <v>18000000</v>
      </c>
      <c r="B19">
        <v>0.37</v>
      </c>
      <c r="C19">
        <v>2490000</v>
      </c>
      <c r="E19">
        <v>6950000</v>
      </c>
      <c r="F19">
        <v>0.23</v>
      </c>
      <c r="G19">
        <v>636000</v>
      </c>
    </row>
    <row r="20" spans="5:7" ht="13.5">
      <c r="E20">
        <v>9000000</v>
      </c>
      <c r="F20">
        <v>0.33</v>
      </c>
      <c r="G20">
        <v>1536000</v>
      </c>
    </row>
    <row r="21" spans="5:7" ht="13.5">
      <c r="E21">
        <v>18000000</v>
      </c>
      <c r="F21">
        <v>0.4</v>
      </c>
      <c r="G21">
        <v>2796000</v>
      </c>
    </row>
    <row r="23" ht="13.5">
      <c r="A23" t="s">
        <v>70</v>
      </c>
    </row>
    <row r="24" spans="1:2" ht="13.5">
      <c r="A24">
        <v>0</v>
      </c>
      <c r="B24">
        <v>0</v>
      </c>
    </row>
    <row r="25" spans="1:2" ht="13.5">
      <c r="A25">
        <v>380000</v>
      </c>
      <c r="B25">
        <v>330000</v>
      </c>
    </row>
    <row r="26" spans="1:2" ht="13.5">
      <c r="A26">
        <v>480000</v>
      </c>
      <c r="B26">
        <v>380000</v>
      </c>
    </row>
    <row r="27" spans="1:2" ht="13.5">
      <c r="A27">
        <v>730000</v>
      </c>
      <c r="B27">
        <v>560000</v>
      </c>
    </row>
    <row r="28" spans="1:2" ht="13.5">
      <c r="A28">
        <v>830000</v>
      </c>
      <c r="B28">
        <v>610000</v>
      </c>
    </row>
    <row r="31" ht="13.5">
      <c r="A31" t="s">
        <v>74</v>
      </c>
    </row>
    <row r="32" spans="1:5" ht="13.5">
      <c r="A32" t="s">
        <v>75</v>
      </c>
      <c r="E32" t="s">
        <v>76</v>
      </c>
    </row>
    <row r="33" spans="1:7" ht="13.5">
      <c r="A33">
        <v>0</v>
      </c>
      <c r="B33">
        <v>1</v>
      </c>
      <c r="C33">
        <v>0</v>
      </c>
      <c r="E33">
        <v>0</v>
      </c>
      <c r="F33">
        <v>1</v>
      </c>
      <c r="G33">
        <v>0</v>
      </c>
    </row>
    <row r="34" spans="1:7" ht="13.5">
      <c r="A34">
        <v>25000</v>
      </c>
      <c r="B34">
        <v>0.5</v>
      </c>
      <c r="C34">
        <v>12500</v>
      </c>
      <c r="E34">
        <v>15000</v>
      </c>
      <c r="F34">
        <v>0.5</v>
      </c>
      <c r="G34">
        <v>7500</v>
      </c>
    </row>
    <row r="35" spans="1:7" ht="13.5">
      <c r="A35">
        <v>50000</v>
      </c>
      <c r="B35">
        <v>0.25</v>
      </c>
      <c r="C35">
        <v>25000</v>
      </c>
      <c r="E35">
        <v>40000</v>
      </c>
      <c r="F35">
        <v>0.25</v>
      </c>
      <c r="G35">
        <v>17500</v>
      </c>
    </row>
    <row r="36" spans="1:7" ht="13.5">
      <c r="A36">
        <v>100000</v>
      </c>
      <c r="B36">
        <v>0</v>
      </c>
      <c r="C36">
        <v>50000</v>
      </c>
      <c r="E36">
        <v>70000</v>
      </c>
      <c r="F36">
        <v>0</v>
      </c>
      <c r="G36">
        <v>35000</v>
      </c>
    </row>
    <row r="39" spans="1:4" ht="13.5">
      <c r="A39" t="s">
        <v>82</v>
      </c>
      <c r="D39" t="s">
        <v>110</v>
      </c>
    </row>
    <row r="40" spans="1:5" ht="13.5">
      <c r="A40">
        <v>0</v>
      </c>
      <c r="B40">
        <v>0</v>
      </c>
      <c r="D40">
        <v>0</v>
      </c>
      <c r="E40">
        <v>0</v>
      </c>
    </row>
    <row r="41" spans="1:5" ht="13.5">
      <c r="A41">
        <v>50000</v>
      </c>
      <c r="B41">
        <v>0</v>
      </c>
      <c r="D41">
        <v>100000</v>
      </c>
      <c r="E41">
        <v>0</v>
      </c>
    </row>
    <row r="42" spans="1:5" ht="13.5">
      <c r="A42">
        <v>100000</v>
      </c>
      <c r="B42">
        <v>0</v>
      </c>
      <c r="D42">
        <v>150000</v>
      </c>
      <c r="E42">
        <v>0</v>
      </c>
    </row>
    <row r="43" spans="1:5" ht="13.5">
      <c r="A43">
        <v>150000</v>
      </c>
      <c r="B43">
        <v>0</v>
      </c>
      <c r="D43">
        <v>200000</v>
      </c>
      <c r="E43">
        <v>0</v>
      </c>
    </row>
    <row r="44" spans="1:5" ht="13.5">
      <c r="A44">
        <v>200000</v>
      </c>
      <c r="B44">
        <v>0</v>
      </c>
      <c r="D44">
        <v>250000</v>
      </c>
      <c r="E44">
        <v>0</v>
      </c>
    </row>
    <row r="45" spans="1:5" ht="13.5">
      <c r="A45">
        <v>250000</v>
      </c>
      <c r="B45">
        <v>0</v>
      </c>
      <c r="D45">
        <v>300000</v>
      </c>
      <c r="E45">
        <v>0</v>
      </c>
    </row>
    <row r="46" spans="1:5" ht="13.5">
      <c r="A46">
        <v>300000</v>
      </c>
      <c r="B46">
        <v>0</v>
      </c>
      <c r="D46">
        <v>350000</v>
      </c>
      <c r="E46">
        <v>0</v>
      </c>
    </row>
    <row r="47" spans="1:5" ht="13.5">
      <c r="A47">
        <v>350000</v>
      </c>
      <c r="B47">
        <v>0</v>
      </c>
      <c r="D47">
        <v>380000</v>
      </c>
      <c r="E47">
        <v>0</v>
      </c>
    </row>
    <row r="48" spans="1:5" ht="13.5">
      <c r="A48">
        <v>380000</v>
      </c>
      <c r="B48">
        <v>0</v>
      </c>
      <c r="D48">
        <v>380001</v>
      </c>
      <c r="E48">
        <v>330000</v>
      </c>
    </row>
    <row r="49" spans="1:5" ht="13.5">
      <c r="A49">
        <v>380001</v>
      </c>
      <c r="B49">
        <v>380000</v>
      </c>
      <c r="D49">
        <v>450000</v>
      </c>
      <c r="E49">
        <v>310000</v>
      </c>
    </row>
    <row r="50" spans="1:5" ht="13.5">
      <c r="A50">
        <v>400000</v>
      </c>
      <c r="B50">
        <v>360000</v>
      </c>
      <c r="D50">
        <v>500000</v>
      </c>
      <c r="E50">
        <v>260000</v>
      </c>
    </row>
    <row r="51" spans="1:5" ht="13.5">
      <c r="A51">
        <v>450000</v>
      </c>
      <c r="B51">
        <v>310000</v>
      </c>
      <c r="D51">
        <v>550000</v>
      </c>
      <c r="E51">
        <v>210000</v>
      </c>
    </row>
    <row r="52" spans="1:5" ht="13.5">
      <c r="A52">
        <v>500000</v>
      </c>
      <c r="B52">
        <v>260000</v>
      </c>
      <c r="D52">
        <v>600000</v>
      </c>
      <c r="E52">
        <v>160000</v>
      </c>
    </row>
    <row r="53" spans="1:5" ht="13.5">
      <c r="A53">
        <v>550000</v>
      </c>
      <c r="B53">
        <v>210000</v>
      </c>
      <c r="D53">
        <v>650000</v>
      </c>
      <c r="E53">
        <v>110000</v>
      </c>
    </row>
    <row r="54" spans="1:5" ht="13.5">
      <c r="A54">
        <v>600000</v>
      </c>
      <c r="B54">
        <v>160000</v>
      </c>
      <c r="D54">
        <v>700000</v>
      </c>
      <c r="E54">
        <v>60000</v>
      </c>
    </row>
    <row r="55" spans="1:5" ht="13.5">
      <c r="A55">
        <v>650000</v>
      </c>
      <c r="B55">
        <v>110000</v>
      </c>
      <c r="D55">
        <v>750000</v>
      </c>
      <c r="E55">
        <v>30000</v>
      </c>
    </row>
    <row r="56" spans="1:5" ht="13.5">
      <c r="A56">
        <v>700000</v>
      </c>
      <c r="B56">
        <v>60000</v>
      </c>
      <c r="D56">
        <v>760000</v>
      </c>
      <c r="E56">
        <v>0</v>
      </c>
    </row>
    <row r="57" spans="1:2" ht="13.5">
      <c r="A57">
        <v>750000</v>
      </c>
      <c r="B57">
        <v>30000</v>
      </c>
    </row>
    <row r="58" spans="1:2" ht="13.5">
      <c r="A58">
        <v>760000</v>
      </c>
      <c r="B58">
        <v>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J22"/>
  <sheetViews>
    <sheetView showZeros="0" workbookViewId="0" topLeftCell="A1">
      <selection activeCell="D11" sqref="D11"/>
    </sheetView>
  </sheetViews>
  <sheetFormatPr defaultColWidth="8.796875" defaultRowHeight="14.25"/>
  <cols>
    <col min="2" max="2" width="16.59765625" style="0" customWidth="1"/>
    <col min="3" max="3" width="9.09765625" style="0" customWidth="1"/>
    <col min="4" max="4" width="16.59765625" style="0" customWidth="1"/>
    <col min="5" max="5" width="9.09765625" style="0" customWidth="1"/>
    <col min="6" max="6" width="16.59765625" style="0" customWidth="1"/>
    <col min="7" max="7" width="9.09765625" style="0" customWidth="1"/>
    <col min="8" max="8" width="16.59765625" style="0" customWidth="1"/>
    <col min="9" max="9" width="9.09765625" style="0" customWidth="1"/>
    <col min="10" max="10" width="16.59765625" style="0" customWidth="1"/>
  </cols>
  <sheetData>
    <row r="1" ht="19.5" customHeight="1"/>
    <row r="3" spans="2:6" ht="24.75" customHeight="1">
      <c r="B3" s="18" t="str">
        <f>'入力'!B1&amp;"様"</f>
        <v>様</v>
      </c>
      <c r="C3" s="3"/>
      <c r="D3" s="93" t="str">
        <f>"平成"&amp;'入力'!J1+1&amp;"年分　納税予定表"</f>
        <v>平成20年分　納税予定表</v>
      </c>
      <c r="E3" s="93"/>
      <c r="F3" s="93"/>
    </row>
    <row r="6" spans="1:10" s="2" customFormat="1" ht="18.75" customHeight="1">
      <c r="A6" s="4" t="s">
        <v>27</v>
      </c>
      <c r="B6" s="5" t="s">
        <v>7</v>
      </c>
      <c r="C6" s="96" t="s">
        <v>22</v>
      </c>
      <c r="D6" s="96"/>
      <c r="E6" s="96" t="s">
        <v>23</v>
      </c>
      <c r="F6" s="96"/>
      <c r="G6" s="96" t="s">
        <v>41</v>
      </c>
      <c r="H6" s="97"/>
      <c r="I6" s="94" t="s">
        <v>100</v>
      </c>
      <c r="J6" s="95"/>
    </row>
    <row r="7" spans="1:10" ht="18.75" customHeight="1">
      <c r="A7" s="6" t="s">
        <v>29</v>
      </c>
      <c r="B7" s="13">
        <f>D7+F7+H7+J7</f>
        <v>0</v>
      </c>
      <c r="C7" s="10" t="s">
        <v>42</v>
      </c>
      <c r="D7" s="11">
        <f>'入力'!F50-'入力'!F51</f>
        <v>0</v>
      </c>
      <c r="E7" s="10"/>
      <c r="F7" s="11"/>
      <c r="G7" s="7"/>
      <c r="H7" s="15"/>
      <c r="I7" s="10" t="s">
        <v>113</v>
      </c>
      <c r="J7" s="15">
        <f>'入力'!F66</f>
        <v>0</v>
      </c>
    </row>
    <row r="8" spans="1:10" ht="18.75" customHeight="1">
      <c r="A8" s="6" t="s">
        <v>30</v>
      </c>
      <c r="B8" s="13">
        <f aca="true" t="shared" si="0" ref="B8:B19">D8+F8+H8+J8</f>
        <v>0</v>
      </c>
      <c r="C8" s="10"/>
      <c r="D8" s="11"/>
      <c r="E8" s="10"/>
      <c r="F8" s="11"/>
      <c r="G8" s="7"/>
      <c r="H8" s="15"/>
      <c r="I8" s="7"/>
      <c r="J8" s="15"/>
    </row>
    <row r="9" spans="1:10" ht="18.75" customHeight="1">
      <c r="A9" s="6" t="s">
        <v>31</v>
      </c>
      <c r="B9" s="13">
        <f t="shared" si="0"/>
        <v>0</v>
      </c>
      <c r="C9" s="10" t="s">
        <v>43</v>
      </c>
      <c r="D9" s="11">
        <f>'入力'!F51</f>
        <v>0</v>
      </c>
      <c r="E9" s="10"/>
      <c r="F9" s="11"/>
      <c r="G9" s="7"/>
      <c r="H9" s="15"/>
      <c r="I9" s="10" t="s">
        <v>46</v>
      </c>
      <c r="J9" s="15">
        <f>'入力'!F71</f>
        <v>0</v>
      </c>
    </row>
    <row r="10" spans="1:10" ht="18.75" customHeight="1">
      <c r="A10" s="6" t="s">
        <v>32</v>
      </c>
      <c r="B10" s="13">
        <f t="shared" si="0"/>
        <v>1000</v>
      </c>
      <c r="C10" s="10"/>
      <c r="D10" s="11"/>
      <c r="E10" s="10" t="s">
        <v>46</v>
      </c>
      <c r="F10" s="11">
        <f>'入力'!G50-'納税予定表'!F12*3</f>
        <v>1000</v>
      </c>
      <c r="G10" s="10"/>
      <c r="H10" s="15"/>
      <c r="I10" s="7"/>
      <c r="J10" s="15"/>
    </row>
    <row r="11" spans="1:10" ht="18.75" customHeight="1">
      <c r="A11" s="6" t="s">
        <v>33</v>
      </c>
      <c r="B11" s="13">
        <f t="shared" si="0"/>
        <v>0</v>
      </c>
      <c r="C11" s="10" t="s">
        <v>44</v>
      </c>
      <c r="D11" s="11">
        <f>IF('入力'!F60&lt;150000,0,ROUNDDOWN('入力'!F60/3,-2))</f>
        <v>0</v>
      </c>
      <c r="E11" s="10"/>
      <c r="F11" s="11"/>
      <c r="G11" s="10"/>
      <c r="H11" s="15"/>
      <c r="I11" s="7"/>
      <c r="J11" s="15"/>
    </row>
    <row r="12" spans="1:10" ht="18.75" customHeight="1">
      <c r="A12" s="6" t="s">
        <v>34</v>
      </c>
      <c r="B12" s="13">
        <f t="shared" si="0"/>
        <v>1000</v>
      </c>
      <c r="C12" s="10"/>
      <c r="D12" s="11"/>
      <c r="E12" s="10" t="s">
        <v>47</v>
      </c>
      <c r="F12" s="11">
        <f>ROUNDDOWN('入力'!G50/4,-3)</f>
        <v>1000</v>
      </c>
      <c r="G12" s="10" t="s">
        <v>46</v>
      </c>
      <c r="H12" s="15">
        <f>'入力'!K11-'納税予定表'!H15</f>
        <v>0</v>
      </c>
      <c r="I12" s="10" t="s">
        <v>47</v>
      </c>
      <c r="J12" s="15">
        <f>'入力'!F72</f>
        <v>0</v>
      </c>
    </row>
    <row r="13" spans="1:10" ht="18.75" customHeight="1">
      <c r="A13" s="6" t="s">
        <v>35</v>
      </c>
      <c r="B13" s="13">
        <f t="shared" si="0"/>
        <v>0</v>
      </c>
      <c r="C13" s="10"/>
      <c r="D13" s="11"/>
      <c r="E13" s="10"/>
      <c r="F13" s="11"/>
      <c r="G13" s="10"/>
      <c r="H13" s="15"/>
      <c r="I13" s="7"/>
      <c r="J13" s="15"/>
    </row>
    <row r="14" spans="1:10" ht="18.75" customHeight="1">
      <c r="A14" s="6" t="s">
        <v>36</v>
      </c>
      <c r="B14" s="13">
        <f t="shared" si="0"/>
        <v>1000</v>
      </c>
      <c r="C14" s="10"/>
      <c r="D14" s="11"/>
      <c r="E14" s="10" t="s">
        <v>42</v>
      </c>
      <c r="F14" s="11">
        <f>$F$12</f>
        <v>1000</v>
      </c>
      <c r="G14" s="10"/>
      <c r="H14" s="15"/>
      <c r="I14" s="7"/>
      <c r="J14" s="15"/>
    </row>
    <row r="15" spans="1:10" ht="18.75" customHeight="1">
      <c r="A15" s="6" t="s">
        <v>37</v>
      </c>
      <c r="B15" s="13">
        <f t="shared" si="0"/>
        <v>0</v>
      </c>
      <c r="C15" s="10" t="s">
        <v>45</v>
      </c>
      <c r="D15" s="11">
        <f>D11</f>
        <v>0</v>
      </c>
      <c r="E15" s="10"/>
      <c r="F15" s="11"/>
      <c r="G15" s="10" t="s">
        <v>47</v>
      </c>
      <c r="H15" s="15">
        <f>ROUNDDOWN('入力'!K11/2,-3)</f>
        <v>0</v>
      </c>
      <c r="I15" s="10" t="s">
        <v>42</v>
      </c>
      <c r="J15" s="15">
        <f>'入力'!F73</f>
        <v>0</v>
      </c>
    </row>
    <row r="16" spans="1:10" ht="18.75" customHeight="1">
      <c r="A16" s="6" t="s">
        <v>38</v>
      </c>
      <c r="B16" s="13">
        <f t="shared" si="0"/>
        <v>0</v>
      </c>
      <c r="C16" s="10"/>
      <c r="D16" s="11"/>
      <c r="E16" s="10"/>
      <c r="F16" s="11"/>
      <c r="G16" s="10"/>
      <c r="H16" s="15"/>
      <c r="I16" s="7"/>
      <c r="J16" s="15"/>
    </row>
    <row r="17" spans="1:10" ht="18.75" customHeight="1">
      <c r="A17" s="6" t="s">
        <v>39</v>
      </c>
      <c r="B17" s="13">
        <f t="shared" si="0"/>
        <v>1000</v>
      </c>
      <c r="C17" s="10"/>
      <c r="D17" s="11"/>
      <c r="E17" s="10" t="s">
        <v>48</v>
      </c>
      <c r="F17" s="11">
        <f>$F$12</f>
        <v>1000</v>
      </c>
      <c r="G17" s="10"/>
      <c r="H17" s="15"/>
      <c r="I17" s="7"/>
      <c r="J17" s="15"/>
    </row>
    <row r="18" spans="1:10" ht="18.75" customHeight="1">
      <c r="A18" s="6" t="s">
        <v>40</v>
      </c>
      <c r="B18" s="13">
        <f t="shared" si="0"/>
        <v>0</v>
      </c>
      <c r="C18" s="10"/>
      <c r="D18" s="11"/>
      <c r="E18" s="10"/>
      <c r="F18" s="11"/>
      <c r="G18" s="10"/>
      <c r="H18" s="15"/>
      <c r="I18" s="7"/>
      <c r="J18" s="15"/>
    </row>
    <row r="19" spans="1:10" ht="18.75" customHeight="1">
      <c r="A19" s="6" t="s">
        <v>28</v>
      </c>
      <c r="B19" s="13">
        <f t="shared" si="0"/>
        <v>0</v>
      </c>
      <c r="C19" s="7"/>
      <c r="D19" s="11"/>
      <c r="E19" s="7"/>
      <c r="F19" s="11"/>
      <c r="G19" s="7"/>
      <c r="H19" s="15"/>
      <c r="I19" s="7"/>
      <c r="J19" s="15"/>
    </row>
    <row r="20" spans="1:10" ht="18.75" customHeight="1">
      <c r="A20" s="8" t="s">
        <v>7</v>
      </c>
      <c r="B20" s="14">
        <f>SUM(B7:B19)</f>
        <v>4000</v>
      </c>
      <c r="C20" s="9"/>
      <c r="D20" s="12">
        <f>SUM(D7:D19)</f>
        <v>0</v>
      </c>
      <c r="E20" s="9"/>
      <c r="F20" s="12">
        <f>SUM(F7:F19)</f>
        <v>4000</v>
      </c>
      <c r="G20" s="9"/>
      <c r="H20" s="16">
        <f>SUM(H7:H19)</f>
        <v>0</v>
      </c>
      <c r="I20" s="9"/>
      <c r="J20" s="16">
        <f>SUM(J9,J12,J15,J7)</f>
        <v>0</v>
      </c>
    </row>
    <row r="22" spans="2:3" ht="13.5">
      <c r="B22" s="17" t="s">
        <v>68</v>
      </c>
      <c r="C22" t="s">
        <v>69</v>
      </c>
    </row>
  </sheetData>
  <sheetProtection password="CCA4" sheet="1" objects="1" scenarios="1"/>
  <mergeCells count="5">
    <mergeCell ref="D3:F3"/>
    <mergeCell ref="I6:J6"/>
    <mergeCell ref="C6:D6"/>
    <mergeCell ref="E6:F6"/>
    <mergeCell ref="G6:H6"/>
  </mergeCells>
  <printOptions/>
  <pageMargins left="0.93" right="0.2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辰巳会計事務所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辰巳</dc:creator>
  <cp:keywords/>
  <dc:description/>
  <cp:lastModifiedBy>t200705</cp:lastModifiedBy>
  <cp:lastPrinted>2007-06-12T01:44:20Z</cp:lastPrinted>
  <dcterms:created xsi:type="dcterms:W3CDTF">1999-03-07T05:29:39Z</dcterms:created>
  <dcterms:modified xsi:type="dcterms:W3CDTF">2007-07-11T07:05:15Z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